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abullivant\Desktop\"/>
    </mc:Choice>
  </mc:AlternateContent>
  <bookViews>
    <workbookView xWindow="0" yWindow="0" windowWidth="25680" windowHeight="12105"/>
  </bookViews>
  <sheets>
    <sheet name="Disk Requirements Calculato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4" i="1"/>
  <c r="K15" i="1"/>
  <c r="J14" i="1"/>
  <c r="J13" i="1"/>
  <c r="J15" i="1"/>
  <c r="J10" i="1"/>
  <c r="H10" i="1"/>
  <c r="E5" i="1" l="1"/>
  <c r="F5" i="1" s="1"/>
  <c r="C16" i="1" l="1"/>
  <c r="D16" i="1" l="1"/>
  <c r="E7" i="1"/>
  <c r="F7" i="1" s="1"/>
  <c r="E6" i="1"/>
  <c r="F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4" i="1"/>
  <c r="F4" i="1" s="1"/>
  <c r="F16" i="1" l="1"/>
  <c r="E16" i="1"/>
  <c r="J4" i="1" s="1"/>
  <c r="K4" i="1" l="1"/>
  <c r="C19" i="1" l="1"/>
  <c r="K16" i="1"/>
  <c r="J16" i="1"/>
  <c r="I14" i="1"/>
  <c r="D23" i="1" s="1"/>
  <c r="I15" i="1"/>
  <c r="D24" i="1" s="1"/>
  <c r="I13" i="1"/>
  <c r="D22" i="1" s="1"/>
  <c r="I16" i="1" l="1"/>
</calcChain>
</file>

<file path=xl/sharedStrings.xml><?xml version="1.0" encoding="utf-8"?>
<sst xmlns="http://schemas.openxmlformats.org/spreadsheetml/2006/main" count="40" uniqueCount="39">
  <si>
    <t>Asset Family</t>
  </si>
  <si>
    <t>EPS/Asset</t>
  </si>
  <si>
    <t># Assets</t>
  </si>
  <si>
    <t>Windows</t>
  </si>
  <si>
    <t>Total Average Events per day (EPD)</t>
  </si>
  <si>
    <t>Total Average Events per second (EPS)</t>
  </si>
  <si>
    <t>Network Router</t>
  </si>
  <si>
    <t>Network Switches</t>
  </si>
  <si>
    <t>Internal Firewalls</t>
  </si>
  <si>
    <t>External Firewalls</t>
  </si>
  <si>
    <t>Network VPN</t>
  </si>
  <si>
    <t>IBMi Box</t>
  </si>
  <si>
    <t>Antivirus/Antispam Server</t>
  </si>
  <si>
    <t>Total</t>
  </si>
  <si>
    <t>Total Events Stored per second</t>
  </si>
  <si>
    <t>Total Events Stored per day</t>
  </si>
  <si>
    <t>Summarization Rate</t>
  </si>
  <si>
    <t>Disk Requirements</t>
  </si>
  <si>
    <t>Disk Size (GB)</t>
  </si>
  <si>
    <t>Average Size per Event (Bytes)</t>
  </si>
  <si>
    <t>Online DB Retention Period</t>
  </si>
  <si>
    <t>Historical DB Retention Period</t>
  </si>
  <si>
    <t>Archive DB Retention Period</t>
  </si>
  <si>
    <t>Online DB</t>
  </si>
  <si>
    <t>Disk IOPs - Direct Attached Disk</t>
  </si>
  <si>
    <t>Disk IOPS - SAN</t>
  </si>
  <si>
    <t>Historical DB</t>
  </si>
  <si>
    <t>Archive DB</t>
  </si>
  <si>
    <t>Linux</t>
  </si>
  <si>
    <t>Unix (Solaris, HP UX, AIX</t>
  </si>
  <si>
    <t>Other Software and Custom Connectors</t>
  </si>
  <si>
    <t>Database Server (Oracle, SQL Server, etc)</t>
  </si>
  <si>
    <t>Database</t>
  </si>
  <si>
    <t>Physical Memory Requirements</t>
  </si>
  <si>
    <t>CPU Requirements</t>
  </si>
  <si>
    <t>It is recommended to mount one disk per database with the following characteristics:</t>
  </si>
  <si>
    <t>50:1</t>
  </si>
  <si>
    <t>Number of Users</t>
  </si>
  <si>
    <t>POWERTECH EVENT MANAGER - DATABASE SERVER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</si>
</sst>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Lato"/>
      <family val="2"/>
    </font>
    <font>
      <b/>
      <sz val="14"/>
      <color theme="1"/>
      <name val="Lato"/>
      <family val="2"/>
    </font>
    <font>
      <sz val="10"/>
      <name val="Lato"/>
      <family val="2"/>
    </font>
    <font>
      <sz val="9"/>
      <color theme="1"/>
      <name val="Lato"/>
      <family val="2"/>
    </font>
    <font>
      <b/>
      <sz val="9"/>
      <color theme="0"/>
      <name val="Lato"/>
      <family val="2"/>
    </font>
    <font>
      <sz val="14"/>
      <color theme="1"/>
      <name val="Lato"/>
      <family val="2"/>
    </font>
    <font>
      <b/>
      <sz val="9"/>
      <name val="Lato"/>
      <family val="2"/>
    </font>
    <font>
      <sz val="10"/>
      <color theme="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rgb="FF2F353E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Protection="1">
      <protection hidden="1"/>
    </xf>
    <xf numFmtId="1" fontId="4" fillId="0" borderId="0" xfId="0" applyNumberFormat="1" applyFont="1" applyProtection="1">
      <protection hidden="1"/>
    </xf>
    <xf numFmtId="2" fontId="4" fillId="0" borderId="0" xfId="0" applyNumberFormat="1" applyFont="1" applyProtection="1">
      <protection hidden="1"/>
    </xf>
    <xf numFmtId="0" fontId="4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7" fillId="4" borderId="0" xfId="0" applyFont="1" applyFill="1" applyProtection="1">
      <protection locked="0"/>
    </xf>
    <xf numFmtId="49" fontId="7" fillId="4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Alignment="1">
      <alignment horizontal="left"/>
    </xf>
    <xf numFmtId="0" fontId="5" fillId="3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protection locked="1" hidden="1"/>
    </dxf>
    <dxf>
      <font>
        <b/>
        <strike val="0"/>
        <outline val="0"/>
        <shadow val="0"/>
        <u val="none"/>
        <vertAlign val="baseline"/>
        <sz val="9"/>
        <color auto="1"/>
        <name val="Lato"/>
        <family val="2"/>
        <scheme val="none"/>
      </font>
      <fill>
        <patternFill patternType="solid">
          <fgColor indexed="64"/>
          <bgColor rgb="FF92D050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9"/>
        <color auto="1"/>
        <name val="Lato"/>
        <family val="2"/>
        <scheme val="none"/>
      </font>
      <fill>
        <patternFill patternType="solid">
          <fgColor indexed="64"/>
          <bgColor rgb="FF92D050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9"/>
        <color auto="1"/>
        <name val="Lato"/>
        <family val="2"/>
        <scheme val="none"/>
      </font>
      <fill>
        <patternFill patternType="solid">
          <fgColor indexed="64"/>
          <bgColor rgb="FF92D050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9"/>
        <color auto="1"/>
        <name val="Lato"/>
        <family val="2"/>
        <scheme val="none"/>
      </font>
      <fill>
        <patternFill patternType="solid">
          <fgColor indexed="64"/>
          <bgColor rgb="FF92D050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9"/>
        <color auto="1"/>
        <name val="Lato"/>
        <family val="2"/>
        <scheme val="none"/>
      </font>
      <fill>
        <patternFill patternType="solid">
          <fgColor indexed="64"/>
          <bgColor rgb="FF92D050"/>
        </patternFill>
      </fill>
      <protection locked="0" hidden="0"/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  <numFmt numFmtId="1" formatCode="0"/>
      <protection locked="1" hidden="1"/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  <numFmt numFmtId="2" formatCode="0.00"/>
      <protection locked="1" hidden="1"/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  <numFmt numFmtId="1" formatCode="0"/>
      <protection locked="1" hidden="1"/>
    </dxf>
    <dxf>
      <font>
        <b/>
        <strike val="0"/>
        <outline val="0"/>
        <shadow val="0"/>
        <u val="none"/>
        <vertAlign val="baseline"/>
        <sz val="9"/>
        <color auto="1"/>
        <name val="Lato"/>
        <family val="2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protection locked="1" hidden="1"/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protection locked="1" hidden="1"/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protection locked="1" hidden="1"/>
    </dxf>
    <dxf>
      <font>
        <b/>
        <strike val="0"/>
        <outline val="0"/>
        <shadow val="0"/>
        <u val="none"/>
        <vertAlign val="baseline"/>
        <sz val="9"/>
        <color auto="1"/>
        <name val="Lato"/>
        <family val="2"/>
        <scheme val="none"/>
      </font>
      <fill>
        <patternFill patternType="solid">
          <fgColor indexed="64"/>
          <bgColor rgb="FF92D05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protection locked="1" hidden="1"/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</dxf>
  </dxfs>
  <tableStyles count="0" defaultTableStyle="TableStyleMedium2" defaultPivotStyle="PivotStyleLight16"/>
  <colors>
    <mruColors>
      <color rgb="FF203764"/>
      <color rgb="FF2F3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12989</xdr:colOff>
      <xdr:row>0</xdr:row>
      <xdr:rowOff>141142</xdr:rowOff>
    </xdr:from>
    <xdr:to>
      <xdr:col>1</xdr:col>
      <xdr:colOff>1376796</xdr:colOff>
      <xdr:row>0</xdr:row>
      <xdr:rowOff>540641</xdr:rowOff>
    </xdr:to>
    <xdr:pic>
      <xdr:nvPicPr>
        <xdr:cNvPr id="2" name="Picture 1" descr="Home">
          <a:extLst>
            <a:ext uri="{FF2B5EF4-FFF2-40B4-BE49-F238E27FC236}">
              <a16:creationId xmlns:a16="http://schemas.microsoft.com/office/drawing/2014/main" id="{2CF21C57-9B19-4B9D-AD6F-011227A3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57" y="141142"/>
          <a:ext cx="1363807" cy="399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AssetsList" displayName="AssetsList" ref="B3:F16" totalsRowCount="1" headerRowDxfId="35" dataDxfId="34" totalsRowDxfId="33">
  <autoFilter ref="B3:F1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sset Family" totalsRowLabel="Total" dataDxfId="32" totalsRowDxfId="31"/>
    <tableColumn id="2" name="EPS/Asset" totalsRowFunction="custom" dataDxfId="30" totalsRowDxfId="29">
      <totalsRowFormula>ROUND(SUBTOTAL(101,AssetsList[EPS/Asset]),2)</totalsRowFormula>
    </tableColumn>
    <tableColumn id="3" name="# Assets" totalsRowFunction="sum" dataDxfId="28" totalsRowDxfId="27"/>
    <tableColumn id="4" name="Total Average Events per second (EPS)" totalsRowFunction="sum" dataDxfId="26" totalsRowDxfId="25">
      <calculatedColumnFormula>C4*D4</calculatedColumnFormula>
    </tableColumn>
    <tableColumn id="5" name="Total Average Events per day (EPD)" totalsRowFunction="sum" dataDxfId="24" totalsRowDxfId="23">
      <calculatedColumnFormula>86400*AssetsList[[#This Row],[Total Average Events per second (EPS)]]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EventsInfo" displayName="EventsInfo" ref="H3:K4" totalsRowShown="0" headerRowDxfId="22" dataDxfId="21">
  <autoFilter ref="H3:K4">
    <filterColumn colId="0" hiddenButton="1"/>
    <filterColumn colId="1" hiddenButton="1"/>
    <filterColumn colId="2" hiddenButton="1"/>
    <filterColumn colId="3" hiddenButton="1"/>
  </autoFilter>
  <tableColumns count="4">
    <tableColumn id="1" name="Summarization Rate" dataDxfId="20"/>
    <tableColumn id="4" name="Average Size per Event (Bytes)" dataDxfId="19"/>
    <tableColumn id="2" name="Total Events Stored per second" dataDxfId="18">
      <calculatedColumnFormula>ROUND(AssetsList[[#Totals],[Total Average Events per second (EPS)]]*((RIGHT(EventsInfo[Summarization Rate],LEN(EventsInfo[Summarization Rate])-FIND(":",EventsInfo[Summarization Rate])))/LEFT(EventsInfo[Summarization Rate],FIND(":",EventsInfo[Summarization Rate])-1)),2)</calculatedColumnFormula>
    </tableColumn>
    <tableColumn id="3" name="Total Events Stored per day" dataDxfId="17">
      <calculatedColumnFormula>J4*86400</calculatedColumnFormula>
    </tableColumn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3" name="RetentionPolicies" displayName="RetentionPolicies" ref="H6:K7" totalsRowShown="0" headerRowDxfId="16" dataDxfId="15">
  <tableColumns count="4">
    <tableColumn id="1" name="Online DB Retention Period" dataDxfId="14"/>
    <tableColumn id="2" name="Historical DB Retention Period" dataDxfId="13"/>
    <tableColumn id="3" name="Archive DB Retention Period" dataDxfId="12"/>
    <tableColumn id="4" name="Number of Users" dataDxfId="11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9" name="DiskRequirements" displayName="DiskRequirements" ref="H12:K16" totalsRowCount="1" headerRowDxfId="10" dataDxfId="9" totalsRowDxfId="8">
  <autoFilter ref="H12:K15">
    <filterColumn colId="0" hiddenButton="1"/>
    <filterColumn colId="1" hiddenButton="1"/>
    <filterColumn colId="2" hiddenButton="1"/>
    <filterColumn colId="3" hiddenButton="1"/>
  </autoFilter>
  <tableColumns count="4">
    <tableColumn id="1" name="Database" totalsRowLabel="Total" dataDxfId="7" totalsRowDxfId="6"/>
    <tableColumn id="2" name="Disk Size (GB)" totalsRowFunction="sum" dataDxfId="5" totalsRowDxfId="4"/>
    <tableColumn id="3" name="Disk IOPs - Direct Attached Disk" totalsRowFunction="sum" dataDxfId="3" totalsRowDxfId="2">
      <calculatedColumnFormula>ROUND(1.2*EventsInfo[Total Events Stored per second]+20*RetentionPolicies[Number of Users],2)</calculatedColumnFormula>
    </tableColumn>
    <tableColumn id="4" name="Disk IOPS - SAN" totalsRowFunction="sum" dataDxfId="1" totalsRowDxfId="0">
      <calculatedColumnFormula>ROUND(3*EventsInfo[Total Events Stored per second]+20*RetentionPolicies[Number of Users],2)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6"/>
  <sheetViews>
    <sheetView showGridLines="0" tabSelected="1" topLeftCell="G1" zoomScale="110" zoomScaleNormal="110" workbookViewId="0">
      <selection activeCell="J22" sqref="J22:L23"/>
    </sheetView>
  </sheetViews>
  <sheetFormatPr defaultRowHeight="12.75" x14ac:dyDescent="0.2"/>
  <cols>
    <col min="1" max="1" width="1.7109375" style="2" customWidth="1"/>
    <col min="2" max="2" width="38" style="2" bestFit="1" customWidth="1"/>
    <col min="3" max="3" width="10" style="2" customWidth="1"/>
    <col min="4" max="4" width="8.7109375" style="2" bestFit="1" customWidth="1"/>
    <col min="5" max="5" width="35.85546875" style="2" bestFit="1" customWidth="1"/>
    <col min="6" max="6" width="33.28515625" style="2" bestFit="1" customWidth="1"/>
    <col min="7" max="7" width="1.42578125" style="2" customWidth="1"/>
    <col min="8" max="8" width="26.140625" style="2" customWidth="1"/>
    <col min="9" max="9" width="28.85546875" style="2" bestFit="1" customWidth="1"/>
    <col min="10" max="10" width="30.42578125" style="2" bestFit="1" customWidth="1"/>
    <col min="11" max="11" width="25.85546875" style="2" bestFit="1" customWidth="1"/>
    <col min="12" max="13" width="39.28515625" style="2" bestFit="1" customWidth="1"/>
    <col min="14" max="16384" width="9.140625" style="2"/>
  </cols>
  <sheetData>
    <row r="1" spans="2:11" s="1" customFormat="1" ht="51.75" customHeight="1" x14ac:dyDescent="0.2">
      <c r="C1" s="19" t="s">
        <v>38</v>
      </c>
    </row>
    <row r="3" spans="2:11" x14ac:dyDescent="0.2">
      <c r="B3" s="4" t="s">
        <v>0</v>
      </c>
      <c r="C3" s="4" t="s">
        <v>1</v>
      </c>
      <c r="D3" s="4" t="s">
        <v>2</v>
      </c>
      <c r="E3" s="4" t="s">
        <v>5</v>
      </c>
      <c r="F3" s="4" t="s">
        <v>4</v>
      </c>
      <c r="G3" s="4"/>
      <c r="H3" s="4" t="s">
        <v>16</v>
      </c>
      <c r="I3" s="4" t="s">
        <v>19</v>
      </c>
      <c r="J3" s="4" t="s">
        <v>14</v>
      </c>
      <c r="K3" s="4" t="s">
        <v>15</v>
      </c>
    </row>
    <row r="4" spans="2:11" x14ac:dyDescent="0.2">
      <c r="B4" s="4" t="s">
        <v>3</v>
      </c>
      <c r="C4" s="5">
        <v>3</v>
      </c>
      <c r="D4" s="17">
        <v>150</v>
      </c>
      <c r="E4" s="5">
        <f t="shared" ref="E4:E15" si="0">C4*D4</f>
        <v>450</v>
      </c>
      <c r="F4" s="5">
        <f>86400*AssetsList[[#This Row],[Total Average Events per second (EPS)]]</f>
        <v>38880000</v>
      </c>
      <c r="G4" s="4"/>
      <c r="H4" s="18" t="s">
        <v>36</v>
      </c>
      <c r="I4" s="6">
        <v>5000</v>
      </c>
      <c r="J4" s="7">
        <f>ROUND(AssetsList[[#Totals],[Total Average Events per second (EPS)]]*((RIGHT(EventsInfo[Summarization Rate],LEN(EventsInfo[Summarization Rate])-FIND(":",EventsInfo[Summarization Rate])))/LEFT(EventsInfo[Summarization Rate],FIND(":",EventsInfo[Summarization Rate])-1)),2)</f>
        <v>23.22</v>
      </c>
      <c r="K4" s="6">
        <f>J4*86400</f>
        <v>2006208</v>
      </c>
    </row>
    <row r="5" spans="2:11" x14ac:dyDescent="0.2">
      <c r="B5" s="4" t="s">
        <v>28</v>
      </c>
      <c r="C5" s="5">
        <v>1</v>
      </c>
      <c r="D5" s="17">
        <v>3</v>
      </c>
      <c r="E5" s="5">
        <f>C5*D5</f>
        <v>3</v>
      </c>
      <c r="F5" s="8">
        <f>86400*AssetsList[[#This Row],[Total Average Events per second (EPS)]]</f>
        <v>259200</v>
      </c>
      <c r="G5" s="4"/>
      <c r="H5" s="4"/>
      <c r="I5" s="4"/>
      <c r="J5" s="4"/>
      <c r="K5" s="4"/>
    </row>
    <row r="6" spans="2:11" x14ac:dyDescent="0.2">
      <c r="B6" s="4" t="s">
        <v>29</v>
      </c>
      <c r="C6" s="5">
        <v>1</v>
      </c>
      <c r="D6" s="17">
        <v>12</v>
      </c>
      <c r="E6" s="5">
        <f t="shared" si="0"/>
        <v>12</v>
      </c>
      <c r="F6" s="8">
        <f>86400*AssetsList[[#This Row],[Total Average Events per second (EPS)]]</f>
        <v>1036800</v>
      </c>
      <c r="G6" s="4"/>
      <c r="H6" s="4" t="s">
        <v>20</v>
      </c>
      <c r="I6" s="4" t="s">
        <v>21</v>
      </c>
      <c r="J6" s="4" t="s">
        <v>22</v>
      </c>
      <c r="K6" s="4" t="s">
        <v>37</v>
      </c>
    </row>
    <row r="7" spans="2:11" x14ac:dyDescent="0.2">
      <c r="B7" s="4" t="s">
        <v>11</v>
      </c>
      <c r="C7" s="5">
        <v>50</v>
      </c>
      <c r="D7" s="17">
        <v>10</v>
      </c>
      <c r="E7" s="5">
        <f t="shared" si="0"/>
        <v>500</v>
      </c>
      <c r="F7" s="8">
        <f>86400*AssetsList[[#This Row],[Total Average Events per second (EPS)]]</f>
        <v>43200000</v>
      </c>
      <c r="G7" s="4"/>
      <c r="H7" s="17">
        <v>62</v>
      </c>
      <c r="I7" s="17">
        <v>365</v>
      </c>
      <c r="J7" s="17">
        <v>1825</v>
      </c>
      <c r="K7" s="17">
        <v>5</v>
      </c>
    </row>
    <row r="8" spans="2:11" x14ac:dyDescent="0.2">
      <c r="B8" s="4" t="s">
        <v>6</v>
      </c>
      <c r="C8" s="5">
        <v>2</v>
      </c>
      <c r="D8" s="17">
        <v>23</v>
      </c>
      <c r="E8" s="5">
        <f t="shared" si="0"/>
        <v>46</v>
      </c>
      <c r="F8" s="5">
        <f>86400*AssetsList[[#This Row],[Total Average Events per second (EPS)]]</f>
        <v>3974400</v>
      </c>
      <c r="G8" s="4"/>
    </row>
    <row r="9" spans="2:11" x14ac:dyDescent="0.2">
      <c r="B9" s="4" t="s">
        <v>7</v>
      </c>
      <c r="C9" s="5">
        <v>3</v>
      </c>
      <c r="D9" s="17">
        <v>10</v>
      </c>
      <c r="E9" s="5">
        <f t="shared" si="0"/>
        <v>30</v>
      </c>
      <c r="F9" s="8">
        <f>86400*AssetsList[[#This Row],[Total Average Events per second (EPS)]]</f>
        <v>2592000</v>
      </c>
      <c r="G9" s="4"/>
      <c r="H9" s="20" t="s">
        <v>33</v>
      </c>
      <c r="I9" s="20"/>
      <c r="J9" s="20" t="s">
        <v>34</v>
      </c>
      <c r="K9" s="20"/>
    </row>
    <row r="10" spans="2:11" x14ac:dyDescent="0.2">
      <c r="B10" s="4" t="s">
        <v>8</v>
      </c>
      <c r="C10" s="5">
        <v>10</v>
      </c>
      <c r="D10" s="17">
        <v>1</v>
      </c>
      <c r="E10" s="5">
        <f t="shared" si="0"/>
        <v>10</v>
      </c>
      <c r="F10" s="8">
        <f>86400*AssetsList[[#This Row],[Total Average Events per second (EPS)]]</f>
        <v>864000</v>
      </c>
      <c r="G10" s="4"/>
      <c r="H10" s="21" t="str">
        <f>CONCATENATE(MROUND(4+ROUNDUP(EventsInfo[Total Events Stored per day]/1000000,0)+ROUNDUP(RetentionPolicies[Number of Users]*0.5,0),4)," GBs")</f>
        <v>12 GBs</v>
      </c>
      <c r="I10" s="21"/>
      <c r="J10" s="21" t="str">
        <f>CONCATENATE(4+MROUND(0.25*(ROUNDUP(EventsInfo[Total Events Stored per day]/1000000,0)+RetentionPolicies[Number of Users]),2)," cores")</f>
        <v>6 cores</v>
      </c>
      <c r="K10" s="21"/>
    </row>
    <row r="11" spans="2:11" x14ac:dyDescent="0.2">
      <c r="B11" s="4" t="s">
        <v>9</v>
      </c>
      <c r="C11" s="5">
        <v>50</v>
      </c>
      <c r="D11" s="17">
        <v>2</v>
      </c>
      <c r="E11" s="5">
        <f t="shared" si="0"/>
        <v>100</v>
      </c>
      <c r="F11" s="8">
        <f>86400*AssetsList[[#This Row],[Total Average Events per second (EPS)]]</f>
        <v>8640000</v>
      </c>
      <c r="G11" s="4"/>
      <c r="H11" s="20" t="s">
        <v>17</v>
      </c>
      <c r="I11" s="20"/>
      <c r="J11" s="20"/>
      <c r="K11" s="20"/>
    </row>
    <row r="12" spans="2:11" ht="15" customHeight="1" x14ac:dyDescent="0.2">
      <c r="B12" s="4" t="s">
        <v>10</v>
      </c>
      <c r="C12" s="5">
        <v>2</v>
      </c>
      <c r="D12" s="17"/>
      <c r="E12" s="5">
        <f t="shared" si="0"/>
        <v>0</v>
      </c>
      <c r="F12" s="8">
        <f>86400*AssetsList[[#This Row],[Total Average Events per second (EPS)]]</f>
        <v>0</v>
      </c>
      <c r="G12" s="4"/>
      <c r="H12" s="5" t="s">
        <v>32</v>
      </c>
      <c r="I12" s="5" t="s">
        <v>18</v>
      </c>
      <c r="J12" s="5" t="s">
        <v>24</v>
      </c>
      <c r="K12" s="5" t="s">
        <v>25</v>
      </c>
    </row>
    <row r="13" spans="2:11" x14ac:dyDescent="0.2">
      <c r="B13" s="4" t="s">
        <v>12</v>
      </c>
      <c r="C13" s="5">
        <v>10</v>
      </c>
      <c r="D13" s="17"/>
      <c r="E13" s="5">
        <f t="shared" si="0"/>
        <v>0</v>
      </c>
      <c r="F13" s="8">
        <f>86400*AssetsList[[#This Row],[Total Average Events per second (EPS)]]</f>
        <v>0</v>
      </c>
      <c r="G13" s="4"/>
      <c r="H13" s="5" t="s">
        <v>23</v>
      </c>
      <c r="I13" s="5">
        <f>ROUND((EventsInfo[Average Size per Event (Bytes)]/1000000000)*EventsInfo[Total Events Stored per day]*RetentionPolicies[Online DB Retention Period],2)</f>
        <v>621.91999999999996</v>
      </c>
      <c r="J13" s="5">
        <f>ROUND(1.2*EventsInfo[Total Events Stored per second]+20*RetentionPolicies[Number of Users],2)</f>
        <v>127.86</v>
      </c>
      <c r="K13" s="5">
        <f>ROUND(3*EventsInfo[Total Events Stored per second]+20*RetentionPolicies[Number of Users],2)</f>
        <v>169.66</v>
      </c>
    </row>
    <row r="14" spans="2:11" x14ac:dyDescent="0.2">
      <c r="B14" s="4" t="s">
        <v>31</v>
      </c>
      <c r="C14" s="5">
        <v>1</v>
      </c>
      <c r="D14" s="17">
        <v>10</v>
      </c>
      <c r="E14" s="5">
        <f t="shared" si="0"/>
        <v>10</v>
      </c>
      <c r="F14" s="8">
        <f>86400*AssetsList[[#This Row],[Total Average Events per second (EPS)]]</f>
        <v>864000</v>
      </c>
      <c r="G14" s="4"/>
      <c r="H14" s="5" t="s">
        <v>26</v>
      </c>
      <c r="I14" s="5">
        <f>ROUND((EventsInfo[Average Size per Event (Bytes)]/1000000000)*EventsInfo[Total Events Stored per day]*RetentionPolicies[Historical DB Retention Period],2)</f>
        <v>3661.33</v>
      </c>
      <c r="J14" s="5">
        <f>ROUND(1.2*EventsInfo[Total Events Stored per second]+20*RetentionPolicies[Number of Users],2)</f>
        <v>127.86</v>
      </c>
      <c r="K14" s="5">
        <f>ROUND(3*EventsInfo[Total Events Stored per second]+20*RetentionPolicies[Number of Users],2)</f>
        <v>169.66</v>
      </c>
    </row>
    <row r="15" spans="2:11" x14ac:dyDescent="0.2">
      <c r="B15" s="4" t="s">
        <v>30</v>
      </c>
      <c r="C15" s="5">
        <v>1</v>
      </c>
      <c r="D15" s="17"/>
      <c r="E15" s="5">
        <f t="shared" si="0"/>
        <v>0</v>
      </c>
      <c r="F15" s="8">
        <f>86400*AssetsList[[#This Row],[Total Average Events per second (EPS)]]</f>
        <v>0</v>
      </c>
      <c r="G15" s="4"/>
      <c r="H15" s="5" t="s">
        <v>27</v>
      </c>
      <c r="I15" s="5">
        <f>ROUND((EventsInfo[Average Size per Event (Bytes)]/1000000000)*EventsInfo[Total Events Stored per day]*RetentionPolicies[Archive DB Retention Period],2)</f>
        <v>18306.650000000001</v>
      </c>
      <c r="J15" s="5">
        <f>ROUND(1.2*EventsInfo[Total Events Stored per second]+20*RetentionPolicies[Number of Users],2)</f>
        <v>127.86</v>
      </c>
      <c r="K15" s="5">
        <f>ROUND(3*EventsInfo[Total Events Stored per second]+20*RetentionPolicies[Number of Users],2)</f>
        <v>169.66</v>
      </c>
    </row>
    <row r="16" spans="2:11" x14ac:dyDescent="0.2">
      <c r="B16" s="4" t="s">
        <v>13</v>
      </c>
      <c r="C16" s="5">
        <f>ROUND(SUBTOTAL(101,AssetsList[EPS/Asset]),2)</f>
        <v>11.17</v>
      </c>
      <c r="D16" s="5">
        <f>SUBTOTAL(109,AssetsList['# Assets])</f>
        <v>221</v>
      </c>
      <c r="E16" s="5">
        <f>SUBTOTAL(109,AssetsList[Total Average Events per second (EPS)])</f>
        <v>1161</v>
      </c>
      <c r="F16" s="5">
        <f>SUBTOTAL(109,AssetsList[Total Average Events per day (EPD)])</f>
        <v>100310400</v>
      </c>
      <c r="G16" s="4"/>
      <c r="H16" s="5" t="s">
        <v>13</v>
      </c>
      <c r="I16" s="5">
        <f>SUBTOTAL(109,DiskRequirements[Disk Size (GB)])</f>
        <v>22589.9</v>
      </c>
      <c r="J16" s="5">
        <f>SUBTOTAL(109,DiskRequirements[Disk IOPs - Direct Attached Disk])</f>
        <v>383.58</v>
      </c>
      <c r="K16" s="5">
        <f>SUBTOTAL(109,DiskRequirements[Disk IOPS - SAN])</f>
        <v>508.98</v>
      </c>
    </row>
    <row r="18" spans="2:12" ht="18" x14ac:dyDescent="0.25">
      <c r="J18" s="9"/>
    </row>
    <row r="19" spans="2:12" ht="18" x14ac:dyDescent="0.25">
      <c r="C19" s="15" t="str">
        <f>CONCATENATE("The Database Management System Server needs at least ",J10," and ",H10," of physical memory.")</f>
        <v>The Database Management System Server needs at least 6 cores and 12 GBs of physical memory.</v>
      </c>
      <c r="D19" s="9"/>
      <c r="E19" s="9"/>
      <c r="F19" s="9"/>
      <c r="G19" s="9"/>
      <c r="H19" s="9"/>
      <c r="I19" s="9"/>
      <c r="J19" s="9"/>
    </row>
    <row r="20" spans="2:12" ht="15" customHeight="1" x14ac:dyDescent="0.25">
      <c r="C20" s="16"/>
      <c r="D20" s="16"/>
      <c r="E20" s="16"/>
      <c r="F20" s="16"/>
      <c r="G20" s="16"/>
      <c r="H20" s="16"/>
      <c r="I20" s="16"/>
      <c r="J20" s="9"/>
    </row>
    <row r="21" spans="2:12" ht="18" x14ac:dyDescent="0.25">
      <c r="C21" s="15" t="s">
        <v>35</v>
      </c>
      <c r="D21" s="9"/>
      <c r="E21" s="9"/>
      <c r="F21" s="16"/>
      <c r="G21" s="16"/>
      <c r="H21" s="16"/>
      <c r="I21" s="16"/>
    </row>
    <row r="22" spans="2:12" ht="18" x14ac:dyDescent="0.25">
      <c r="C22" s="16"/>
      <c r="D22" s="14" t="str">
        <f>CONCATENATE("- ",IF(I13&gt;1024,CONCATENATE(ROUNDUP(I13/1000,2)," TBs"),CONCATENATE(I13," GBs"))," of space that supports at least ",ROUND(J13,2)," IOPS (",ROUND(K13,2)," IOPS in a SAN) for the Online DB")</f>
        <v>- 621,92 GBs of space that supports at least 127,86 IOPS (169,66 IOPS in a SAN) for the Online DB</v>
      </c>
      <c r="E22" s="9"/>
      <c r="F22" s="16"/>
      <c r="G22" s="16"/>
      <c r="H22" s="16"/>
      <c r="I22" s="16"/>
    </row>
    <row r="23" spans="2:12" ht="18" x14ac:dyDescent="0.25">
      <c r="C23" s="16"/>
      <c r="D23" s="14" t="str">
        <f>CONCATENATE("- ",IF(I14&gt;1000,CONCATENATE(ROUNDUP(I14/1000,2)," TBs"),CONCATENATE(I14," GBs"))," of space that supports at least ",ROUND(J14,2)," IOPS (",ROUND(K14,2)," IOPS in a SAN) for the Historical DB")</f>
        <v>- 3,67 TBs of space that supports at least 127,86 IOPS (169,66 IOPS in a SAN) for the Historical DB</v>
      </c>
      <c r="E23" s="16"/>
      <c r="F23" s="16"/>
      <c r="G23" s="16"/>
      <c r="H23" s="16"/>
      <c r="I23" s="16"/>
    </row>
    <row r="24" spans="2:12" ht="18" x14ac:dyDescent="0.25">
      <c r="C24" s="16"/>
      <c r="D24" s="14" t="str">
        <f>CONCATENATE("- ",IF(I15&gt;1024,CONCATENATE(ROUNDUP(I15/1000,2)," TBs"),CONCATENATE(I15," GBs"))," of space that supports at least ",ROUND(J15,2)," IOPS (",ROUND(K15,2)," IOPS in a SAN) for the Archive DB")</f>
        <v>- 18,31 TBs of space that supports at least 127,86 IOPS (169,66 IOPS in a SAN) for the Archive DB</v>
      </c>
      <c r="E24" s="16"/>
      <c r="F24" s="16"/>
      <c r="G24" s="16"/>
      <c r="H24" s="16"/>
      <c r="I24" s="5"/>
    </row>
    <row r="25" spans="2:12" x14ac:dyDescent="0.2">
      <c r="F25" s="10"/>
      <c r="G25" s="10"/>
      <c r="H25" s="11"/>
      <c r="I25" s="12"/>
      <c r="J25" s="3"/>
      <c r="K25" s="3"/>
    </row>
    <row r="26" spans="2:12" x14ac:dyDescent="0.2">
      <c r="J26" s="3"/>
      <c r="K26" s="3"/>
    </row>
    <row r="27" spans="2:12" x14ac:dyDescent="0.2">
      <c r="B27" s="3"/>
      <c r="C27" s="3"/>
      <c r="D27" s="3"/>
      <c r="J27" s="3"/>
      <c r="K27" s="3"/>
    </row>
    <row r="28" spans="2:12" x14ac:dyDescent="0.2">
      <c r="B28" s="3"/>
      <c r="C28" s="3"/>
      <c r="D28" s="3"/>
    </row>
    <row r="29" spans="2:12" ht="18" x14ac:dyDescent="0.25">
      <c r="B29" s="3"/>
      <c r="C29" s="3"/>
      <c r="D29" s="3"/>
      <c r="E29" s="3"/>
      <c r="I29" s="9"/>
      <c r="J29" s="9"/>
      <c r="K29" s="9"/>
      <c r="L29" s="9"/>
    </row>
    <row r="30" spans="2:12" ht="18" x14ac:dyDescent="0.25">
      <c r="I30" s="9"/>
      <c r="J30" s="9"/>
      <c r="K30" s="9"/>
    </row>
    <row r="34" spans="6:9" x14ac:dyDescent="0.2">
      <c r="F34" s="13"/>
      <c r="G34" s="12"/>
      <c r="H34" s="12"/>
      <c r="I34" s="12"/>
    </row>
    <row r="35" spans="6:9" x14ac:dyDescent="0.2">
      <c r="F35" s="10"/>
      <c r="G35" s="10"/>
      <c r="H35" s="10"/>
      <c r="I35" s="10"/>
    </row>
    <row r="36" spans="6:9" x14ac:dyDescent="0.2">
      <c r="F36" s="10"/>
      <c r="G36" s="10"/>
      <c r="H36" s="10"/>
      <c r="I36" s="10"/>
    </row>
  </sheetData>
  <sheetProtection algorithmName="SHA-512" hashValue="4gEm+JvpQatXZNc13xQ0MLdByWboZEp3oZ5ul7abWh3fqW3cQfsHiFYPGAbXlbAvmkTir5b4ZbAMr3sTJeOIcw==" saltValue="OclqPrPuQgpIR3aQYrLCvw==" spinCount="100000" sheet="1" objects="1" scenarios="1"/>
  <mergeCells count="5">
    <mergeCell ref="H11:K11"/>
    <mergeCell ref="H9:I9"/>
    <mergeCell ref="H10:I10"/>
    <mergeCell ref="J9:K9"/>
    <mergeCell ref="J10:K10"/>
  </mergeCells>
  <dataValidations count="8">
    <dataValidation type="list" allowBlank="1" showInputMessage="1" showErrorMessage="1" promptTitle="Summarization Rate" prompt="Choose the rate of events that are summarized." sqref="H4">
      <formula1>"1:1,2:1,4:1,6:1,8:1,10:1,20:1,50:1,100:1"</formula1>
    </dataValidation>
    <dataValidation allowBlank="1" showInputMessage="1" showErrorMessage="1" prompt="This is a rough estimate assuming that every EPS generates 1,2 IOPS on direct attached storage." sqref="H34 J13:J15"/>
    <dataValidation allowBlank="1" showInputMessage="1" showErrorMessage="1" prompt="This is a rough estimate assuming that every EPS generates 3 IOPS on SAN (Due to write latency)." sqref="I34 K13:K15"/>
    <dataValidation allowBlank="1" showInputMessage="1" showErrorMessage="1" prompt="Number of days that the data will be stored in the Online Database." sqref="H7"/>
    <dataValidation allowBlank="1" showInputMessage="1" showErrorMessage="1" prompt="Number of days that the data will be stored in the Historical Database." sqref="I7"/>
    <dataValidation allowBlank="1" showInputMessage="1" showErrorMessage="1" prompt="Number of days that the data will be stored in the Archive Database." sqref="J7"/>
    <dataValidation allowBlank="1" showInputMessage="1" showErrorMessage="1" prompt="This value represents the average size of a normalized event in the database taking into account the data and index space." sqref="I4"/>
    <dataValidation allowBlank="1" showInputMessage="1" showErrorMessage="1" prompt="Number of users that will be simultaneously using the software." sqref="K7"/>
  </dataValidations>
  <pageMargins left="0.7" right="0.7" top="0.75" bottom="0.75" header="0.3" footer="0.3"/>
  <pageSetup paperSize="9" scale="51" orientation="landscape" horizontalDpi="4294967295" verticalDpi="4294967295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Disk Requirements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A. Zurro</dc:creator>
  <cp:lastModifiedBy>Andrew Bullivant</cp:lastModifiedBy>
  <cp:lastPrinted>2018-02-27T12:15:21Z</cp:lastPrinted>
  <dcterms:created xsi:type="dcterms:W3CDTF">2018-02-13T10:14:43Z</dcterms:created>
  <dcterms:modified xsi:type="dcterms:W3CDTF">2018-02-27T13:34:35Z</dcterms:modified>
</cp:coreProperties>
</file>